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Schválené rozpočty SK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<sst xmlns="http://schemas.openxmlformats.org/spreadsheetml/2006/main" count="90" uniqueCount="90">
  <si>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Ukazatel</t>
  </si>
  <si>
    <t>Třída 1 - Daňové příjmy</t>
  </si>
  <si>
    <t>Třída 2 - Nedaňové příjmy</t>
  </si>
  <si>
    <t>Třída 3 - Kapitálové příjmy</t>
  </si>
  <si>
    <t>Příjmy celkem</t>
  </si>
  <si>
    <t>Výdaje celkem</t>
  </si>
  <si>
    <t>Saldo (příjmy - výdaje)</t>
  </si>
  <si>
    <t>Financování celkem</t>
  </si>
  <si>
    <t>Celková bilance hospodaření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</si>
  <si>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</si>
  <si>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</si>
  <si>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</si>
  <si>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</si>
  <si>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</si>
  <si>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</si>
  <si>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</si>
  <si>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</si>
  <si>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</si>
  <si>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rok 2009 - rozpočet schválený usnesením Zastupitelstva kraje č. 5-2/2008/ZK ze dne 15.12.2008</t>
  </si>
  <si>
    <t>rok 2008 - rozpočet schválený usnesením Zastupitelstva kraje č. 1-23/2007/ZK ze dne 17.12.2007</t>
  </si>
  <si>
    <t>rok 2007 - rozpočet schválený usnesením Zastupitelstva kraje č. 1-15/2006/ZK ze dne 18. 12. 2006</t>
  </si>
  <si>
    <t>rok 2006 - rozpočet schválený usnesením Zastupitelstva kraje č. 1-8/2005/ZK  ze dne 19. 12. 2005</t>
  </si>
  <si>
    <t>rok 2005 - rozpočet schválený usnesením Zastupitelstva kraje č. 2-2/2004/ZK  ze dne 21. 12. 2004</t>
  </si>
  <si>
    <t>rok 2003 - rozpočet schválený usnesením Zastupitelstva kraje č. 2-11/2002/ZK ze dne 5.12.2002</t>
  </si>
  <si>
    <t>rok 2001 - rozpočet schválený usnesením Zastupitelstva kraje SK ze dne 13.2.2001</t>
  </si>
  <si>
    <t>rok 2002 - rozpočet schválený usnesením Zastupitelstva kraje SK ze dne 6.12.2001</t>
  </si>
  <si>
    <t>rok 2004 - rozpočet schválený usnesením Zastupitelstva kraje č. 1-16/2003/ZK ze dne 17.12.2003</t>
  </si>
  <si>
    <t>Třída 4 - Přijaté transfery</t>
  </si>
  <si>
    <t>v tom: Podíly na daních</t>
  </si>
  <si>
    <t>Vlastní příjmy celkem</t>
  </si>
  <si>
    <t>rok 2010 - rozpočet schválený usnesením Zastupitelstva kraje č. 18-8/2009/ZK ze dne 30.11.2009</t>
  </si>
  <si>
    <t>r. 2010</t>
  </si>
  <si>
    <t>Zdroje:</t>
  </si>
  <si>
    <t>v tis. Kč</t>
  </si>
  <si>
    <t>r. 2011</t>
  </si>
  <si>
    <t>rok 2011 - rozpočet schválený usnesením Zastupitelstva kraje č. 1-13/2010/ZK ze dne 1.12.2010</t>
  </si>
  <si>
    <t>r. 2012</t>
  </si>
  <si>
    <t>rok 2012 - rozpočet schválený usnesením Zastupitelstva kraje č. 1-20/2011/ZK ze dne 19.12.2011</t>
  </si>
  <si>
    <t>r. 2013</t>
  </si>
  <si>
    <t>rok 2013 - rozpočet schválený usnesením Zastupitelstva kraje č. 7-2/2012/ZK ze dne 11.12.2012</t>
  </si>
  <si>
    <t>r. 2014</t>
  </si>
  <si>
    <t>rok 2014 - rozpočet schválený usnesením Zastupitelstva kraje č. 4-9/2013/ZK ze dne 9.12.2013</t>
  </si>
  <si>
    <t>r. 2015</t>
  </si>
  <si>
    <t>r. 2016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</si>
  <si>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</si>
  <si>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</si>
  <si>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</si>
  <si>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</si>
  <si>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</si>
  <si>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</si>
  <si>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</si>
  <si>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</si>
  <si>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</si>
  <si>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12 - Finanční řízení</t>
  </si>
  <si>
    <t>12 - Investiční výdaje</t>
  </si>
  <si>
    <t>14 - Řízení lidských zdrojů</t>
  </si>
  <si>
    <t>15 - Územní a stavební řízení</t>
  </si>
  <si>
    <t>16 - Správní agendy</t>
  </si>
  <si>
    <t>17 - Sociální věci</t>
  </si>
  <si>
    <t xml:space="preserve">23 - Ostatní </t>
  </si>
  <si>
    <t>10 - Životní prostředí a zemědělství</t>
  </si>
  <si>
    <t>r. 2017</t>
  </si>
  <si>
    <t>r. 2018</t>
  </si>
  <si>
    <t>Zapojení zůstatku hospodaření z min. let</t>
  </si>
  <si>
    <t>18 - Legislativně právní</t>
  </si>
  <si>
    <t>24 - Podpora příspěvkových organizací</t>
  </si>
  <si>
    <t>25 - Bezpečnost a prevence</t>
  </si>
  <si>
    <t xml:space="preserve">Poznámka: Výdaje jednotlivých kapitol mohou zahrnovat vyjma běžných výdajů i výdaje do fondů, kapitálové výdaje, výdaje na projekty spolufinancované z EU, výdaje hrazené z přijatých dotací atd. </t>
  </si>
  <si>
    <t>r. 2019</t>
  </si>
  <si>
    <t>05 - Školství</t>
  </si>
  <si>
    <t>r. 2020</t>
  </si>
  <si>
    <t>13 - Krajský investor</t>
  </si>
  <si>
    <t>11 - Správa majetku</t>
  </si>
  <si>
    <t>r. 2021</t>
  </si>
  <si>
    <t>Přijetí bankovních úvěrů</t>
  </si>
  <si>
    <t>Splátky přijatých bankovních úvěrů</t>
  </si>
  <si>
    <t>rok 2022 - rozpočet schválený usnesením Zastupitelstva kraje č. 013-11/2021/ZK ze dne 29.11.2021</t>
  </si>
  <si>
    <t>r. 2022</t>
  </si>
  <si>
    <t>26 - Veřejná mobilita</t>
  </si>
  <si>
    <t>27 - Digitalizace</t>
  </si>
  <si>
    <t>rok 2023 - rozpočet schválený usnesením Zastupitelstva kraje č. 011-20/2022/ZK ze dne 28.11.2022</t>
  </si>
  <si>
    <t>Časová řada - Schválené rozpočty Středočeského kraje v letech 2001 - 2023</t>
  </si>
  <si>
    <t>r. 2023</t>
  </si>
  <si>
    <t>rok 2021 - rozpočet schválený usnesením Zastupitelstva kraje č. 006-02/2020/ZK ze dne 14.12.2020</t>
  </si>
  <si>
    <t>rok 2020 - rozpočet schválený usnesením Zastupitelstva kraje č. 008-21/2019/ZK ze dne 25.11.2019</t>
  </si>
  <si>
    <t>rok 2019 - rozpočet schválený usnesením Zastupitelstva kraje č. 009-16/2018/ZK ze dne 26.11.2018</t>
  </si>
  <si>
    <t>rok 2018 - rozpočet schválený usnesením Zastupitelstva kraje č. 008-11/2017/ZK ze dne 5.12.2017</t>
  </si>
  <si>
    <t>rok 2017 - rozpočet schválený usnesením Zastupitelstva kraje č. 009-2/2016/ZK ze dne 19.12.2016</t>
  </si>
  <si>
    <t>rok 2016 - rozpočet schválený usnesením Zastupitelstva kraje č. 006-20/2015/ZK ze dne 7.12.2015</t>
  </si>
  <si>
    <t>rok 2015 - rozpočet schválený usnesením Zastupitelstva kraje č. 009-14/2014/ZK ze dne 8.12.2014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</si>
</sst>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3" fillId="35" borderId="19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" fillId="36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4" fontId="0" fillId="37" borderId="21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příjmů a výdajů SK v letech 2001 - 2023 - schválené rozpočty</a:t>
            </a:r>
          </a:p>
        </c:rich>
      </c:tx>
      <c:layout>
        <c:manualLayout>
          <c:xMode val="factor"/>
          <c:yMode val="factor"/>
          <c:x val="-0.07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5"/>
          <c:w val="0.874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'Schválené rozpočty SK'!$A$13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SK'!$B$13:$X$13</c:f>
              <c:numCache/>
            </c:numRef>
          </c:val>
        </c:ser>
        <c:ser>
          <c:idx val="1"/>
          <c:order val="1"/>
          <c:tx>
            <c:strRef>
              <c:f>'Schválené rozpočty SK'!$A$40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SK'!$B$40:$X$40</c:f>
              <c:numCache/>
            </c:numRef>
          </c:val>
        </c:ser>
        <c:axId val="13848629"/>
        <c:axId val="57528798"/>
      </c:barChart>
      <c:catAx>
        <c:axId val="1384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8798"/>
        <c:crosses val="autoZero"/>
        <c:auto val="1"/>
        <c:lblOffset val="100"/>
        <c:tickLblSkip val="1"/>
        <c:noMultiLvlLbl val="0"/>
      </c:catAx>
      <c:valAx>
        <c:axId val="57528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5525"/>
          <c:w val="0.209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76</xdr:row>
      <xdr:rowOff>114300</xdr:rowOff>
    </xdr:from>
    <xdr:to>
      <xdr:col>14</xdr:col>
      <xdr:colOff>419100</xdr:colOff>
      <xdr:row>111</xdr:row>
      <xdr:rowOff>66675</xdr:rowOff>
    </xdr:to>
    <xdr:graphicFrame>
      <xdr:nvGraphicFramePr>
        <xdr:cNvPr id="1" name="graf 1"/>
        <xdr:cNvGraphicFramePr/>
      </xdr:nvGraphicFramePr>
      <xdr:xfrm>
        <a:off x="4010025" y="12658725"/>
        <a:ext cx="9953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6"/>
  <sheetViews>
    <sheetView tabSelected="1" zoomScalePageLayoutView="0" workbookViewId="0" topLeftCell="A74">
      <pane xSplit="1" topLeftCell="B1" activePane="topRight" state="frozen"/>
      <selection pane="topLeft" activeCell="A1" sqref="A1"/>
      <selection pane="topRight" activeCell="A75" sqref="A75"/>
    </sheetView>
  </sheetViews>
  <sheetFormatPr defaultColWidth="9.140625" defaultRowHeight="12.75"/>
  <cols>
    <col min="1" max="1" width="37.8515625" style="6" customWidth="1"/>
    <col min="2" max="10" width="12.7109375" style="7" customWidth="1"/>
    <col min="11" max="12" width="12.7109375" style="6" customWidth="1"/>
    <col min="13" max="13" width="12.7109375" style="7" customWidth="1"/>
    <col min="14" max="15" width="12.7109375" style="34" customWidth="1"/>
    <col min="16" max="16" width="12.7109375" style="42" customWidth="1"/>
    <col min="17" max="17" width="12.7109375" style="56" customWidth="1"/>
    <col min="18" max="24" width="12.7109375" style="0" customWidth="1"/>
    <col min="25" max="25" width="13.8515625" style="0" bestFit="1" customWidth="1"/>
    <col min="26" max="26" width="14.421875" style="0" bestFit="1" customWidth="1"/>
  </cols>
  <sheetData>
    <row r="3" spans="1:17" s="2" customFormat="1" ht="15.75">
      <c r="A3" s="90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5"/>
      <c r="M3" s="32"/>
      <c r="N3" s="33"/>
      <c r="O3" s="33"/>
      <c r="P3" s="33"/>
      <c r="Q3" s="54"/>
    </row>
    <row r="5" spans="10:24" ht="13.5" thickBot="1">
      <c r="J5" s="8"/>
      <c r="K5" s="8"/>
      <c r="L5" s="8"/>
      <c r="U5" s="83"/>
      <c r="X5" s="83" t="s">
        <v>33</v>
      </c>
    </row>
    <row r="6" spans="1:24" s="1" customFormat="1" ht="13.5" thickBot="1">
      <c r="A6" s="48" t="s">
        <v>0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31</v>
      </c>
      <c r="L6" s="50" t="s">
        <v>34</v>
      </c>
      <c r="M6" s="49" t="s">
        <v>36</v>
      </c>
      <c r="N6" s="51" t="s">
        <v>38</v>
      </c>
      <c r="O6" s="51" t="s">
        <v>40</v>
      </c>
      <c r="P6" s="51" t="s">
        <v>42</v>
      </c>
      <c r="Q6" s="59" t="s">
        <v>43</v>
      </c>
      <c r="R6" s="59" t="s">
        <v>61</v>
      </c>
      <c r="S6" s="59" t="s">
        <v>62</v>
      </c>
      <c r="T6" s="59" t="s">
        <v>68</v>
      </c>
      <c r="U6" s="59" t="s">
        <v>70</v>
      </c>
      <c r="V6" s="59" t="s">
        <v>73</v>
      </c>
      <c r="W6" s="59" t="s">
        <v>77</v>
      </c>
      <c r="X6" s="84" t="s">
        <v>82</v>
      </c>
    </row>
    <row r="7" spans="1:24" ht="12.75">
      <c r="A7" s="44" t="s">
        <v>1</v>
      </c>
      <c r="B7" s="45"/>
      <c r="C7" s="45">
        <v>1259836</v>
      </c>
      <c r="D7" s="45">
        <v>1385710</v>
      </c>
      <c r="E7" s="45">
        <v>1530000</v>
      </c>
      <c r="F7" s="45">
        <v>5838278</v>
      </c>
      <c r="G7" s="45">
        <v>5840000</v>
      </c>
      <c r="H7" s="45">
        <v>6100000</v>
      </c>
      <c r="I7" s="45">
        <v>7024000</v>
      </c>
      <c r="J7" s="45">
        <v>7234720</v>
      </c>
      <c r="K7" s="45">
        <v>6500000</v>
      </c>
      <c r="L7" s="45">
        <v>6650000</v>
      </c>
      <c r="M7" s="45">
        <v>6350000</v>
      </c>
      <c r="N7" s="46">
        <v>6350000</v>
      </c>
      <c r="O7" s="46">
        <v>6520000</v>
      </c>
      <c r="P7" s="47">
        <v>6710000</v>
      </c>
      <c r="Q7" s="58">
        <v>7577500</v>
      </c>
      <c r="R7" s="58">
        <v>8502500</v>
      </c>
      <c r="S7" s="58">
        <v>8902500</v>
      </c>
      <c r="T7" s="58">
        <v>9812500</v>
      </c>
      <c r="U7" s="58">
        <v>10417500</v>
      </c>
      <c r="V7" s="58">
        <v>8667500</v>
      </c>
      <c r="W7" s="58">
        <v>10963500</v>
      </c>
      <c r="X7" s="65">
        <v>13564000</v>
      </c>
    </row>
    <row r="8" spans="1:24" ht="12.75">
      <c r="A8" s="18" t="s">
        <v>28</v>
      </c>
      <c r="B8" s="9"/>
      <c r="C8" s="9">
        <v>1259836</v>
      </c>
      <c r="D8" s="9">
        <v>1385710</v>
      </c>
      <c r="E8" s="9">
        <v>1530000</v>
      </c>
      <c r="F8" s="9">
        <v>5838278</v>
      </c>
      <c r="G8" s="9">
        <v>5840000</v>
      </c>
      <c r="H8" s="9">
        <v>6100000</v>
      </c>
      <c r="I8" s="9">
        <v>7024000</v>
      </c>
      <c r="J8" s="9">
        <v>7234720</v>
      </c>
      <c r="K8" s="9">
        <v>6500000</v>
      </c>
      <c r="L8" s="9">
        <v>6650000</v>
      </c>
      <c r="M8" s="9">
        <v>6350000</v>
      </c>
      <c r="N8" s="37">
        <v>6350000</v>
      </c>
      <c r="O8" s="37">
        <v>6520000</v>
      </c>
      <c r="P8" s="43">
        <v>6710000</v>
      </c>
      <c r="Q8" s="57">
        <v>7575000</v>
      </c>
      <c r="R8" s="57">
        <v>8500000</v>
      </c>
      <c r="S8" s="57">
        <v>8900000</v>
      </c>
      <c r="T8" s="57">
        <v>9800000</v>
      </c>
      <c r="U8" s="57">
        <v>10400000</v>
      </c>
      <c r="V8" s="57">
        <v>8600000</v>
      </c>
      <c r="W8" s="57">
        <v>10900000</v>
      </c>
      <c r="X8" s="66">
        <v>13500000</v>
      </c>
    </row>
    <row r="9" spans="1:24" ht="12.75">
      <c r="A9" s="18" t="s">
        <v>2</v>
      </c>
      <c r="B9" s="9"/>
      <c r="C9" s="13">
        <v>25632</v>
      </c>
      <c r="D9" s="9">
        <v>15000</v>
      </c>
      <c r="E9" s="9">
        <v>85340</v>
      </c>
      <c r="F9" s="9">
        <v>25000</v>
      </c>
      <c r="G9" s="9">
        <v>71022</v>
      </c>
      <c r="H9" s="9">
        <v>51948</v>
      </c>
      <c r="I9" s="9">
        <v>93998</v>
      </c>
      <c r="J9" s="9">
        <v>123731</v>
      </c>
      <c r="K9" s="9">
        <v>865000</v>
      </c>
      <c r="L9" s="9">
        <v>340058</v>
      </c>
      <c r="M9" s="9">
        <v>381277</v>
      </c>
      <c r="N9" s="37">
        <v>351321</v>
      </c>
      <c r="O9" s="37">
        <v>308319</v>
      </c>
      <c r="P9" s="43">
        <v>314041</v>
      </c>
      <c r="Q9" s="57">
        <v>507922</v>
      </c>
      <c r="R9" s="57">
        <v>96949</v>
      </c>
      <c r="S9" s="57">
        <v>406080</v>
      </c>
      <c r="T9" s="57">
        <v>1361017</v>
      </c>
      <c r="U9" s="57">
        <v>1828668</v>
      </c>
      <c r="V9" s="57">
        <v>2024532</v>
      </c>
      <c r="W9" s="57">
        <v>1314103</v>
      </c>
      <c r="X9" s="66">
        <v>1735854</v>
      </c>
    </row>
    <row r="10" spans="1:24" ht="13.5" thickBot="1">
      <c r="A10" s="21" t="s">
        <v>3</v>
      </c>
      <c r="B10" s="14"/>
      <c r="C10" s="22"/>
      <c r="D10" s="14"/>
      <c r="E10" s="14"/>
      <c r="F10" s="14"/>
      <c r="G10" s="14"/>
      <c r="H10" s="14"/>
      <c r="I10" s="14">
        <v>8000</v>
      </c>
      <c r="J10" s="14">
        <v>10000</v>
      </c>
      <c r="K10" s="14">
        <v>10000</v>
      </c>
      <c r="L10" s="14">
        <v>10000</v>
      </c>
      <c r="M10" s="14">
        <v>10000</v>
      </c>
      <c r="N10" s="38">
        <v>10000</v>
      </c>
      <c r="O10" s="38">
        <v>10000</v>
      </c>
      <c r="P10" s="52">
        <v>10000</v>
      </c>
      <c r="Q10" s="60">
        <v>10000</v>
      </c>
      <c r="R10" s="60">
        <v>10000</v>
      </c>
      <c r="S10" s="60">
        <v>10000</v>
      </c>
      <c r="T10" s="60">
        <v>12000</v>
      </c>
      <c r="U10" s="60">
        <v>12000</v>
      </c>
      <c r="V10" s="60">
        <v>8000</v>
      </c>
      <c r="W10" s="60">
        <v>8000</v>
      </c>
      <c r="X10" s="67">
        <v>16000</v>
      </c>
    </row>
    <row r="11" spans="1:24" s="1" customFormat="1" ht="13.5" thickBot="1">
      <c r="A11" s="30" t="s">
        <v>29</v>
      </c>
      <c r="B11" s="10">
        <f aca="true" t="shared" si="0" ref="B11:I11">B7+B9+B10</f>
        <v>0</v>
      </c>
      <c r="C11" s="10">
        <f t="shared" si="0"/>
        <v>1285468</v>
      </c>
      <c r="D11" s="10">
        <f t="shared" si="0"/>
        <v>1400710</v>
      </c>
      <c r="E11" s="10">
        <f t="shared" si="0"/>
        <v>1615340</v>
      </c>
      <c r="F11" s="10">
        <f t="shared" si="0"/>
        <v>5863278</v>
      </c>
      <c r="G11" s="10">
        <f t="shared" si="0"/>
        <v>5911022</v>
      </c>
      <c r="H11" s="10">
        <f t="shared" si="0"/>
        <v>6151948</v>
      </c>
      <c r="I11" s="10">
        <f t="shared" si="0"/>
        <v>7125998</v>
      </c>
      <c r="J11" s="10">
        <f aca="true" t="shared" si="1" ref="J11:R11">J7+J9+J10</f>
        <v>7368451</v>
      </c>
      <c r="K11" s="10">
        <f t="shared" si="1"/>
        <v>7375000</v>
      </c>
      <c r="L11" s="10">
        <f t="shared" si="1"/>
        <v>7000058</v>
      </c>
      <c r="M11" s="10">
        <f t="shared" si="1"/>
        <v>6741277</v>
      </c>
      <c r="N11" s="36">
        <f t="shared" si="1"/>
        <v>6711321</v>
      </c>
      <c r="O11" s="36">
        <f t="shared" si="1"/>
        <v>6838319</v>
      </c>
      <c r="P11" s="36">
        <f t="shared" si="1"/>
        <v>7034041</v>
      </c>
      <c r="Q11" s="61">
        <f t="shared" si="1"/>
        <v>8095422</v>
      </c>
      <c r="R11" s="61">
        <f t="shared" si="1"/>
        <v>8609449</v>
      </c>
      <c r="S11" s="61">
        <f aca="true" t="shared" si="2" ref="S11:X11">S7+S9+S10</f>
        <v>9318580</v>
      </c>
      <c r="T11" s="61">
        <f t="shared" si="2"/>
        <v>11185517</v>
      </c>
      <c r="U11" s="61">
        <f t="shared" si="2"/>
        <v>12258168</v>
      </c>
      <c r="V11" s="61">
        <f t="shared" si="2"/>
        <v>10700032</v>
      </c>
      <c r="W11" s="61">
        <f t="shared" si="2"/>
        <v>12285603</v>
      </c>
      <c r="X11" s="85">
        <f t="shared" si="2"/>
        <v>15315854</v>
      </c>
    </row>
    <row r="12" spans="1:24" ht="13.5" thickBot="1">
      <c r="A12" s="24" t="s">
        <v>27</v>
      </c>
      <c r="B12" s="12">
        <v>84652</v>
      </c>
      <c r="C12" s="11">
        <v>2139621</v>
      </c>
      <c r="D12" s="12">
        <v>8282299</v>
      </c>
      <c r="E12" s="12">
        <v>9808917</v>
      </c>
      <c r="F12" s="12">
        <v>7275558</v>
      </c>
      <c r="G12" s="12">
        <v>8116029</v>
      </c>
      <c r="H12" s="12">
        <v>9237143</v>
      </c>
      <c r="I12" s="12">
        <v>7997415</v>
      </c>
      <c r="J12" s="12">
        <v>8228862</v>
      </c>
      <c r="K12" s="12">
        <v>7842447</v>
      </c>
      <c r="L12" s="12">
        <v>8499987</v>
      </c>
      <c r="M12" s="12">
        <v>8885559</v>
      </c>
      <c r="N12" s="39">
        <v>9033559</v>
      </c>
      <c r="O12" s="39">
        <v>9120587</v>
      </c>
      <c r="P12" s="53">
        <v>10332768</v>
      </c>
      <c r="Q12" s="62">
        <v>11012226.4</v>
      </c>
      <c r="R12" s="62">
        <v>11606449.3</v>
      </c>
      <c r="S12" s="62">
        <v>14029621.8</v>
      </c>
      <c r="T12" s="62">
        <v>16142583.9</v>
      </c>
      <c r="U12" s="62">
        <v>19065408.9</v>
      </c>
      <c r="V12" s="62">
        <v>21236609.2</v>
      </c>
      <c r="W12" s="62">
        <v>23435304.2</v>
      </c>
      <c r="X12" s="68">
        <v>26703661.3</v>
      </c>
    </row>
    <row r="13" spans="1:26" s="1" customFormat="1" ht="13.5" thickBot="1">
      <c r="A13" s="76" t="s">
        <v>4</v>
      </c>
      <c r="B13" s="77">
        <f aca="true" t="shared" si="3" ref="B13:I13">SUM(B11:B12)</f>
        <v>84652</v>
      </c>
      <c r="C13" s="77">
        <f t="shared" si="3"/>
        <v>3425089</v>
      </c>
      <c r="D13" s="77">
        <f t="shared" si="3"/>
        <v>9683009</v>
      </c>
      <c r="E13" s="77">
        <f t="shared" si="3"/>
        <v>11424257</v>
      </c>
      <c r="F13" s="77">
        <f t="shared" si="3"/>
        <v>13138836</v>
      </c>
      <c r="G13" s="77">
        <f t="shared" si="3"/>
        <v>14027051</v>
      </c>
      <c r="H13" s="77">
        <f t="shared" si="3"/>
        <v>15389091</v>
      </c>
      <c r="I13" s="77">
        <f t="shared" si="3"/>
        <v>15123413</v>
      </c>
      <c r="J13" s="77">
        <f aca="true" t="shared" si="4" ref="J13:R13">SUM(J11:J12)</f>
        <v>15597313</v>
      </c>
      <c r="K13" s="77">
        <f t="shared" si="4"/>
        <v>15217447</v>
      </c>
      <c r="L13" s="77">
        <f t="shared" si="4"/>
        <v>15500045</v>
      </c>
      <c r="M13" s="77">
        <f t="shared" si="4"/>
        <v>15626836</v>
      </c>
      <c r="N13" s="78">
        <f t="shared" si="4"/>
        <v>15744880</v>
      </c>
      <c r="O13" s="78">
        <f t="shared" si="4"/>
        <v>15958906</v>
      </c>
      <c r="P13" s="78">
        <f t="shared" si="4"/>
        <v>17366809</v>
      </c>
      <c r="Q13" s="79">
        <f t="shared" si="4"/>
        <v>19107648.4</v>
      </c>
      <c r="R13" s="79">
        <f t="shared" si="4"/>
        <v>20215898.3</v>
      </c>
      <c r="S13" s="79">
        <f aca="true" t="shared" si="5" ref="S13:X13">SUM(S11:S12)</f>
        <v>23348201.8</v>
      </c>
      <c r="T13" s="79">
        <f t="shared" si="5"/>
        <v>27328100.9</v>
      </c>
      <c r="U13" s="79">
        <f t="shared" si="5"/>
        <v>31323576.9</v>
      </c>
      <c r="V13" s="79">
        <f t="shared" si="5"/>
        <v>31936641.2</v>
      </c>
      <c r="W13" s="79">
        <f t="shared" si="5"/>
        <v>35720907.2</v>
      </c>
      <c r="X13" s="86">
        <f t="shared" si="5"/>
        <v>42019515.3</v>
      </c>
      <c r="Y13" s="82"/>
      <c r="Z13" s="82"/>
    </row>
    <row r="14" spans="1:24" s="1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81"/>
    </row>
    <row r="15" spans="1:24" ht="13.5" customHeight="1">
      <c r="A15" s="19" t="s">
        <v>44</v>
      </c>
      <c r="B15" s="9">
        <v>17326</v>
      </c>
      <c r="C15" s="9">
        <v>19338</v>
      </c>
      <c r="D15" s="9">
        <v>35575</v>
      </c>
      <c r="E15" s="9">
        <v>90238</v>
      </c>
      <c r="F15" s="9">
        <v>123873</v>
      </c>
      <c r="G15" s="9">
        <v>119929</v>
      </c>
      <c r="H15" s="9">
        <v>123114</v>
      </c>
      <c r="I15" s="9">
        <v>127125</v>
      </c>
      <c r="J15" s="9">
        <v>128430</v>
      </c>
      <c r="K15" s="9">
        <v>129358</v>
      </c>
      <c r="L15" s="9">
        <v>124000</v>
      </c>
      <c r="M15" s="9">
        <v>124000</v>
      </c>
      <c r="N15" s="37">
        <v>69908</v>
      </c>
      <c r="O15" s="37">
        <v>135600</v>
      </c>
      <c r="P15" s="43">
        <v>109500</v>
      </c>
      <c r="Q15" s="57">
        <v>139000</v>
      </c>
      <c r="R15" s="57">
        <v>82356</v>
      </c>
      <c r="S15" s="57">
        <v>156273</v>
      </c>
      <c r="T15" s="57">
        <v>160723</v>
      </c>
      <c r="U15" s="57">
        <f>89002+42000+30000</f>
        <v>161002</v>
      </c>
      <c r="V15" s="57">
        <v>111807</v>
      </c>
      <c r="W15" s="57">
        <f>105219+12000</f>
        <v>117219</v>
      </c>
      <c r="X15" s="66">
        <f>77358+10000</f>
        <v>87358</v>
      </c>
    </row>
    <row r="16" spans="1:24" ht="13.5" customHeight="1">
      <c r="A16" s="19" t="s">
        <v>45</v>
      </c>
      <c r="B16" s="9">
        <v>67326</v>
      </c>
      <c r="C16" s="9">
        <v>156290</v>
      </c>
      <c r="D16" s="9">
        <v>347220</v>
      </c>
      <c r="E16" s="9">
        <v>423430</v>
      </c>
      <c r="F16" s="13">
        <v>481310</v>
      </c>
      <c r="G16" s="9">
        <v>404722</v>
      </c>
      <c r="H16" s="9">
        <v>422699</v>
      </c>
      <c r="I16" s="9">
        <v>449550</v>
      </c>
      <c r="J16" s="9">
        <v>454044</v>
      </c>
      <c r="K16" s="9">
        <v>457291</v>
      </c>
      <c r="L16" s="9">
        <v>429210</v>
      </c>
      <c r="M16" s="9">
        <v>420000</v>
      </c>
      <c r="N16" s="37">
        <v>426977</v>
      </c>
      <c r="O16" s="37">
        <v>434350</v>
      </c>
      <c r="P16" s="43">
        <v>465526</v>
      </c>
      <c r="Q16" s="57">
        <v>69728</v>
      </c>
      <c r="R16" s="57">
        <v>69425</v>
      </c>
      <c r="S16" s="57">
        <v>70300</v>
      </c>
      <c r="T16" s="57">
        <v>571844</v>
      </c>
      <c r="U16" s="57">
        <v>592098</v>
      </c>
      <c r="V16" s="57">
        <v>55318</v>
      </c>
      <c r="W16" s="57">
        <v>57032</v>
      </c>
      <c r="X16" s="66">
        <v>86704</v>
      </c>
    </row>
    <row r="17" spans="1:24" ht="14.25" customHeight="1">
      <c r="A17" s="19" t="s">
        <v>46</v>
      </c>
      <c r="B17" s="9"/>
      <c r="C17" s="9">
        <v>10000</v>
      </c>
      <c r="D17" s="9">
        <v>38600</v>
      </c>
      <c r="E17" s="9">
        <v>33000</v>
      </c>
      <c r="F17" s="9"/>
      <c r="G17" s="9">
        <v>42027</v>
      </c>
      <c r="H17" s="9">
        <v>39738</v>
      </c>
      <c r="I17" s="9">
        <v>35239</v>
      </c>
      <c r="J17" s="9">
        <v>35580</v>
      </c>
      <c r="K17" s="9">
        <v>14862</v>
      </c>
      <c r="L17" s="9">
        <v>12000</v>
      </c>
      <c r="M17" s="9">
        <v>12500</v>
      </c>
      <c r="N17" s="37">
        <v>15235</v>
      </c>
      <c r="O17" s="37">
        <v>15735</v>
      </c>
      <c r="P17" s="43">
        <v>24600</v>
      </c>
      <c r="Q17" s="57">
        <v>49600</v>
      </c>
      <c r="R17" s="57">
        <v>38925</v>
      </c>
      <c r="S17" s="57">
        <v>34425</v>
      </c>
      <c r="T17" s="57">
        <v>37443</v>
      </c>
      <c r="U17" s="57">
        <v>48243</v>
      </c>
      <c r="V17" s="57">
        <v>54671</v>
      </c>
      <c r="W17" s="57">
        <v>55218</v>
      </c>
      <c r="X17" s="66">
        <v>59083</v>
      </c>
    </row>
    <row r="18" spans="1:24" ht="13.5" customHeight="1">
      <c r="A18" s="19" t="s">
        <v>47</v>
      </c>
      <c r="B18" s="9"/>
      <c r="C18" s="9">
        <v>25450</v>
      </c>
      <c r="D18" s="9">
        <v>1659050</v>
      </c>
      <c r="E18" s="9">
        <v>2279139</v>
      </c>
      <c r="F18" s="9">
        <v>2895994</v>
      </c>
      <c r="G18" s="9">
        <v>2418219</v>
      </c>
      <c r="H18" s="9">
        <v>3827067</v>
      </c>
      <c r="I18" s="9">
        <v>5361629</v>
      </c>
      <c r="J18" s="9">
        <v>5328941</v>
      </c>
      <c r="K18" s="9">
        <v>2951301</v>
      </c>
      <c r="L18" s="9">
        <v>2700000</v>
      </c>
      <c r="M18" s="9">
        <v>2694560</v>
      </c>
      <c r="N18" s="37">
        <v>2958560</v>
      </c>
      <c r="O18" s="37">
        <v>3101525</v>
      </c>
      <c r="P18" s="43">
        <v>2871700</v>
      </c>
      <c r="Q18" s="57">
        <v>3299380</v>
      </c>
      <c r="R18" s="57">
        <v>3900932</v>
      </c>
      <c r="S18" s="57">
        <v>4074473</v>
      </c>
      <c r="T18" s="57">
        <v>4380728</v>
      </c>
      <c r="U18" s="57">
        <v>4841697</v>
      </c>
      <c r="V18" s="57">
        <v>4894421</v>
      </c>
      <c r="W18" s="57">
        <f>1720265+75000</f>
        <v>1795265</v>
      </c>
      <c r="X18" s="66">
        <f>2091408+40000</f>
        <v>2131408</v>
      </c>
    </row>
    <row r="19" spans="1:24" ht="13.5" customHeight="1">
      <c r="A19" s="19" t="s">
        <v>69</v>
      </c>
      <c r="B19" s="9"/>
      <c r="C19" s="9">
        <v>2541017</v>
      </c>
      <c r="D19" s="9">
        <v>5780869</v>
      </c>
      <c r="E19" s="9">
        <v>6975572</v>
      </c>
      <c r="F19" s="9">
        <v>7254481</v>
      </c>
      <c r="G19" s="9">
        <v>7954641</v>
      </c>
      <c r="H19" s="9">
        <v>8352865</v>
      </c>
      <c r="I19" s="9">
        <v>8760868</v>
      </c>
      <c r="J19" s="9">
        <v>9001518</v>
      </c>
      <c r="K19" s="9">
        <v>8272902</v>
      </c>
      <c r="L19" s="9">
        <v>8877095</v>
      </c>
      <c r="M19" s="9">
        <v>9294092</v>
      </c>
      <c r="N19" s="37">
        <v>9383000</v>
      </c>
      <c r="O19" s="37">
        <v>9494843</v>
      </c>
      <c r="P19" s="43">
        <v>10757024</v>
      </c>
      <c r="Q19" s="57">
        <v>11446728</v>
      </c>
      <c r="R19" s="57">
        <v>12087888</v>
      </c>
      <c r="S19" s="57">
        <v>14554388</v>
      </c>
      <c r="T19" s="57">
        <v>16632115</v>
      </c>
      <c r="U19" s="57">
        <f>662755+18900000</f>
        <v>19562755</v>
      </c>
      <c r="V19" s="57">
        <f>592720+21056000</f>
        <v>21648720</v>
      </c>
      <c r="W19" s="89">
        <f>813556+42500+23245000</f>
        <v>24101056</v>
      </c>
      <c r="X19" s="88">
        <f>1155417+40000+26225000</f>
        <v>27420417</v>
      </c>
    </row>
    <row r="20" spans="1:24" ht="13.5" customHeight="1">
      <c r="A20" s="19" t="s">
        <v>48</v>
      </c>
      <c r="B20" s="9"/>
      <c r="C20" s="9">
        <v>65446</v>
      </c>
      <c r="D20" s="9">
        <v>200061</v>
      </c>
      <c r="E20" s="9">
        <v>250740</v>
      </c>
      <c r="F20" s="9">
        <v>312592</v>
      </c>
      <c r="G20" s="9">
        <v>304406</v>
      </c>
      <c r="H20" s="9">
        <v>282864</v>
      </c>
      <c r="I20" s="9">
        <v>306915</v>
      </c>
      <c r="J20" s="9">
        <v>341498</v>
      </c>
      <c r="K20" s="9">
        <v>285066</v>
      </c>
      <c r="L20" s="9">
        <v>271053</v>
      </c>
      <c r="M20" s="9">
        <v>286294</v>
      </c>
      <c r="N20" s="37">
        <v>218700</v>
      </c>
      <c r="O20" s="37">
        <v>245700</v>
      </c>
      <c r="P20" s="43">
        <v>256400</v>
      </c>
      <c r="Q20" s="57">
        <v>281831</v>
      </c>
      <c r="R20" s="57">
        <v>298050</v>
      </c>
      <c r="S20" s="57">
        <v>364465</v>
      </c>
      <c r="T20" s="57">
        <v>400169</v>
      </c>
      <c r="U20" s="57">
        <f>395886+20000</f>
        <v>415886</v>
      </c>
      <c r="V20" s="57">
        <v>368341</v>
      </c>
      <c r="W20" s="89">
        <f>452727+53000+10000+11500</f>
        <v>527227</v>
      </c>
      <c r="X20" s="88">
        <f>536669+51000+21500</f>
        <v>609169</v>
      </c>
    </row>
    <row r="21" spans="1:24" ht="13.5" customHeight="1">
      <c r="A21" s="19" t="s">
        <v>49</v>
      </c>
      <c r="B21" s="9"/>
      <c r="C21" s="9">
        <v>17613</v>
      </c>
      <c r="D21" s="9">
        <v>436082</v>
      </c>
      <c r="E21" s="9">
        <v>468470</v>
      </c>
      <c r="F21" s="9">
        <v>756832</v>
      </c>
      <c r="G21" s="9">
        <v>530380</v>
      </c>
      <c r="H21" s="9">
        <v>773880</v>
      </c>
      <c r="I21" s="9">
        <v>778937</v>
      </c>
      <c r="J21" s="9">
        <v>809767</v>
      </c>
      <c r="K21" s="9">
        <v>698618</v>
      </c>
      <c r="L21" s="9">
        <v>723888</v>
      </c>
      <c r="M21" s="9">
        <v>756589</v>
      </c>
      <c r="N21" s="37">
        <v>735067</v>
      </c>
      <c r="O21" s="37">
        <v>910367</v>
      </c>
      <c r="P21" s="43">
        <v>936318</v>
      </c>
      <c r="Q21" s="57">
        <v>927103</v>
      </c>
      <c r="R21" s="57">
        <v>982497</v>
      </c>
      <c r="S21" s="57">
        <v>1015900</v>
      </c>
      <c r="T21" s="57">
        <v>899053</v>
      </c>
      <c r="U21" s="57">
        <f>735569+4000+191469</f>
        <v>931038</v>
      </c>
      <c r="V21" s="57">
        <f>693394+191487</f>
        <v>884881</v>
      </c>
      <c r="W21" s="89">
        <f>859876+6000+191240+25000</f>
        <v>1082116</v>
      </c>
      <c r="X21" s="88">
        <f>929774+25000+191208+7000</f>
        <v>1152982</v>
      </c>
    </row>
    <row r="22" spans="1:24" ht="13.5" customHeight="1">
      <c r="A22" s="19" t="s">
        <v>50</v>
      </c>
      <c r="B22" s="9"/>
      <c r="C22" s="9">
        <v>11550</v>
      </c>
      <c r="D22" s="9">
        <v>40000</v>
      </c>
      <c r="E22" s="9">
        <v>123395</v>
      </c>
      <c r="F22" s="9">
        <v>287103</v>
      </c>
      <c r="G22" s="9">
        <v>147363</v>
      </c>
      <c r="H22" s="9">
        <v>118641</v>
      </c>
      <c r="I22" s="9">
        <v>179724</v>
      </c>
      <c r="J22" s="9">
        <v>719723</v>
      </c>
      <c r="K22" s="9">
        <v>570363</v>
      </c>
      <c r="L22" s="9">
        <v>656942</v>
      </c>
      <c r="M22" s="9">
        <v>615891</v>
      </c>
      <c r="N22" s="37">
        <v>282642</v>
      </c>
      <c r="O22" s="37">
        <v>146500</v>
      </c>
      <c r="P22" s="43">
        <v>246800</v>
      </c>
      <c r="Q22" s="57">
        <v>563300</v>
      </c>
      <c r="R22" s="57">
        <v>93863</v>
      </c>
      <c r="S22" s="57">
        <v>298050</v>
      </c>
      <c r="T22" s="57">
        <v>173349</v>
      </c>
      <c r="U22" s="57">
        <f>176608+24000</f>
        <v>200608</v>
      </c>
      <c r="V22" s="57">
        <v>131373</v>
      </c>
      <c r="W22" s="89">
        <v>9250</v>
      </c>
      <c r="X22" s="88">
        <v>17350</v>
      </c>
    </row>
    <row r="23" spans="1:24" ht="13.5" customHeight="1">
      <c r="A23" s="19" t="s">
        <v>51</v>
      </c>
      <c r="B23" s="9"/>
      <c r="C23" s="9">
        <v>19000</v>
      </c>
      <c r="D23" s="9">
        <v>25000</v>
      </c>
      <c r="E23" s="9"/>
      <c r="F23" s="9"/>
      <c r="G23" s="9"/>
      <c r="H23" s="9"/>
      <c r="I23" s="9"/>
      <c r="J23" s="9"/>
      <c r="K23" s="9"/>
      <c r="L23" s="9"/>
      <c r="M23" s="9"/>
      <c r="N23" s="37"/>
      <c r="O23" s="37"/>
      <c r="P23" s="43"/>
      <c r="Q23" s="57"/>
      <c r="R23" s="57"/>
      <c r="S23" s="57"/>
      <c r="T23" s="57"/>
      <c r="U23" s="57"/>
      <c r="V23" s="57"/>
      <c r="W23" s="89"/>
      <c r="X23" s="88"/>
    </row>
    <row r="24" spans="1:24" ht="13.5" customHeight="1">
      <c r="A24" s="19" t="s">
        <v>52</v>
      </c>
      <c r="B24" s="9"/>
      <c r="C24" s="9"/>
      <c r="D24" s="9"/>
      <c r="E24" s="9"/>
      <c r="F24" s="9"/>
      <c r="G24" s="9">
        <v>61922</v>
      </c>
      <c r="H24" s="9">
        <v>75656</v>
      </c>
      <c r="I24" s="9">
        <v>58453</v>
      </c>
      <c r="J24" s="9">
        <v>48925</v>
      </c>
      <c r="K24" s="9">
        <v>39792</v>
      </c>
      <c r="L24" s="9">
        <v>30000</v>
      </c>
      <c r="M24" s="9">
        <v>22000</v>
      </c>
      <c r="N24" s="37">
        <v>21500</v>
      </c>
      <c r="O24" s="37">
        <v>7600</v>
      </c>
      <c r="P24" s="43">
        <v>7700</v>
      </c>
      <c r="Q24" s="57">
        <v>55700</v>
      </c>
      <c r="R24" s="57">
        <v>28700</v>
      </c>
      <c r="S24" s="57">
        <v>20324</v>
      </c>
      <c r="T24" s="57">
        <v>281961</v>
      </c>
      <c r="U24" s="57">
        <f>23094+110000+120000+30000</f>
        <v>283094</v>
      </c>
      <c r="V24" s="57">
        <f>22780+20000</f>
        <v>42780</v>
      </c>
      <c r="W24" s="89">
        <f>65830+40000+120000+15000+2000+20000+2000</f>
        <v>264830</v>
      </c>
      <c r="X24" s="88">
        <f>74252+40000+100000+10000+200</f>
        <v>224452</v>
      </c>
    </row>
    <row r="25" spans="1:24" ht="13.5" customHeight="1">
      <c r="A25" s="19" t="s">
        <v>60</v>
      </c>
      <c r="B25" s="9"/>
      <c r="C25" s="9">
        <v>15000</v>
      </c>
      <c r="D25" s="9">
        <v>48000</v>
      </c>
      <c r="E25" s="9">
        <v>60000</v>
      </c>
      <c r="F25" s="9">
        <v>182096</v>
      </c>
      <c r="G25" s="9">
        <v>171750</v>
      </c>
      <c r="H25" s="9">
        <v>179410</v>
      </c>
      <c r="I25" s="9">
        <v>317980</v>
      </c>
      <c r="J25" s="9">
        <v>327370</v>
      </c>
      <c r="K25" s="9">
        <v>179842</v>
      </c>
      <c r="L25" s="9">
        <v>146790</v>
      </c>
      <c r="M25" s="9">
        <v>130010</v>
      </c>
      <c r="N25" s="37">
        <v>29300</v>
      </c>
      <c r="O25" s="37">
        <v>89300</v>
      </c>
      <c r="P25" s="43">
        <v>147232</v>
      </c>
      <c r="Q25" s="57">
        <v>127500</v>
      </c>
      <c r="R25" s="57">
        <v>62075</v>
      </c>
      <c r="S25" s="57">
        <v>162075</v>
      </c>
      <c r="T25" s="57">
        <v>172075</v>
      </c>
      <c r="U25" s="57">
        <f>52075+20000+50000+42610</f>
        <v>164685</v>
      </c>
      <c r="V25" s="57">
        <f>42575+50000</f>
        <v>92575</v>
      </c>
      <c r="W25" s="89">
        <f>43001+20000+110000+10000+10000</f>
        <v>193001</v>
      </c>
      <c r="X25" s="88">
        <f>46011+10000+24000+110000+10000</f>
        <v>200011</v>
      </c>
    </row>
    <row r="26" spans="1:24" ht="13.5" customHeight="1">
      <c r="A26" s="19" t="s">
        <v>72</v>
      </c>
      <c r="B26" s="9"/>
      <c r="C26" s="9"/>
      <c r="D26" s="9">
        <v>12880</v>
      </c>
      <c r="E26" s="9">
        <v>6996</v>
      </c>
      <c r="F26" s="9">
        <v>11130</v>
      </c>
      <c r="G26" s="9">
        <v>10574</v>
      </c>
      <c r="H26" s="9">
        <v>10574</v>
      </c>
      <c r="I26" s="9">
        <v>18574</v>
      </c>
      <c r="J26" s="9">
        <v>18574</v>
      </c>
      <c r="K26" s="9">
        <v>12983</v>
      </c>
      <c r="L26" s="9">
        <v>9580</v>
      </c>
      <c r="M26" s="9">
        <v>7580</v>
      </c>
      <c r="N26" s="37">
        <v>8580</v>
      </c>
      <c r="O26" s="37">
        <v>14680</v>
      </c>
      <c r="P26" s="43">
        <v>22700</v>
      </c>
      <c r="Q26" s="57">
        <v>34700</v>
      </c>
      <c r="R26" s="57">
        <v>25047</v>
      </c>
      <c r="S26" s="57">
        <v>17827</v>
      </c>
      <c r="T26" s="57">
        <v>17827</v>
      </c>
      <c r="U26" s="57">
        <v>13827</v>
      </c>
      <c r="V26" s="57">
        <v>12607</v>
      </c>
      <c r="W26" s="89">
        <v>14733</v>
      </c>
      <c r="X26" s="88">
        <v>20139</v>
      </c>
    </row>
    <row r="27" spans="1:24" ht="13.5" customHeight="1">
      <c r="A27" s="20" t="s">
        <v>53</v>
      </c>
      <c r="B27" s="9"/>
      <c r="C27" s="9"/>
      <c r="D27" s="9"/>
      <c r="E27" s="9"/>
      <c r="F27" s="9"/>
      <c r="G27" s="9">
        <v>3800</v>
      </c>
      <c r="H27" s="9">
        <v>6000</v>
      </c>
      <c r="I27" s="9">
        <v>2400</v>
      </c>
      <c r="J27" s="9">
        <v>2400</v>
      </c>
      <c r="K27" s="9"/>
      <c r="L27" s="9"/>
      <c r="M27" s="9"/>
      <c r="N27" s="37"/>
      <c r="O27" s="37"/>
      <c r="P27" s="43"/>
      <c r="Q27" s="57"/>
      <c r="R27" s="57"/>
      <c r="S27" s="57"/>
      <c r="T27" s="57"/>
      <c r="U27" s="57"/>
      <c r="V27" s="57"/>
      <c r="W27" s="89"/>
      <c r="X27" s="88"/>
    </row>
    <row r="28" spans="1:24" ht="13.5" customHeight="1">
      <c r="A28" s="20" t="s">
        <v>54</v>
      </c>
      <c r="B28" s="9"/>
      <c r="C28" s="9"/>
      <c r="D28" s="9"/>
      <c r="E28" s="9"/>
      <c r="F28" s="9"/>
      <c r="G28" s="9"/>
      <c r="H28" s="9"/>
      <c r="I28" s="9"/>
      <c r="J28" s="9"/>
      <c r="K28" s="9">
        <v>801500</v>
      </c>
      <c r="L28" s="9">
        <v>1347182</v>
      </c>
      <c r="M28" s="9">
        <v>754117</v>
      </c>
      <c r="N28" s="37">
        <v>994000</v>
      </c>
      <c r="O28" s="37">
        <v>350000</v>
      </c>
      <c r="P28" s="43">
        <v>350000</v>
      </c>
      <c r="Q28" s="57">
        <v>504550</v>
      </c>
      <c r="R28" s="57">
        <v>281200</v>
      </c>
      <c r="S28" s="57"/>
      <c r="T28" s="57"/>
      <c r="U28" s="57">
        <v>700000</v>
      </c>
      <c r="V28" s="57">
        <f>209500+300000+200000</f>
        <v>709500</v>
      </c>
      <c r="W28" s="89">
        <v>2290000</v>
      </c>
      <c r="X28" s="88">
        <f>600000+1296000</f>
        <v>1896000</v>
      </c>
    </row>
    <row r="29" spans="1:24" ht="13.5" customHeight="1">
      <c r="A29" s="20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37"/>
      <c r="P29" s="43"/>
      <c r="Q29" s="57"/>
      <c r="R29" s="57"/>
      <c r="S29" s="57"/>
      <c r="T29" s="57"/>
      <c r="U29" s="57">
        <v>7000</v>
      </c>
      <c r="V29" s="57">
        <v>4880</v>
      </c>
      <c r="W29" s="89">
        <v>4929</v>
      </c>
      <c r="X29" s="88">
        <v>2974</v>
      </c>
    </row>
    <row r="30" spans="1:24" ht="13.5" customHeight="1">
      <c r="A30" s="20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7"/>
      <c r="O30" s="37"/>
      <c r="P30" s="43"/>
      <c r="Q30" s="57">
        <v>432163</v>
      </c>
      <c r="R30" s="57">
        <v>457650</v>
      </c>
      <c r="S30" s="57">
        <v>503914</v>
      </c>
      <c r="T30" s="57"/>
      <c r="U30" s="57"/>
      <c r="V30" s="57">
        <v>550086</v>
      </c>
      <c r="W30" s="57">
        <v>581459</v>
      </c>
      <c r="X30" s="66">
        <v>699662</v>
      </c>
    </row>
    <row r="31" spans="1:24" ht="13.5" customHeight="1">
      <c r="A31" s="19" t="s">
        <v>56</v>
      </c>
      <c r="B31" s="9"/>
      <c r="C31" s="9"/>
      <c r="D31" s="9"/>
      <c r="E31" s="9"/>
      <c r="F31" s="9"/>
      <c r="G31" s="9"/>
      <c r="H31" s="9"/>
      <c r="I31" s="9">
        <v>1020</v>
      </c>
      <c r="J31" s="9">
        <v>1020</v>
      </c>
      <c r="K31" s="9">
        <v>834</v>
      </c>
      <c r="L31" s="9">
        <v>500</v>
      </c>
      <c r="M31" s="9"/>
      <c r="N31" s="37"/>
      <c r="O31" s="37"/>
      <c r="P31" s="43"/>
      <c r="Q31" s="57"/>
      <c r="R31" s="57"/>
      <c r="S31" s="57">
        <v>4400</v>
      </c>
      <c r="T31" s="57">
        <v>4400</v>
      </c>
      <c r="U31" s="57">
        <v>4400</v>
      </c>
      <c r="V31" s="57">
        <v>2000</v>
      </c>
      <c r="W31" s="57">
        <v>2020</v>
      </c>
      <c r="X31" s="66">
        <v>2161</v>
      </c>
    </row>
    <row r="32" spans="1:24" ht="13.5" customHeight="1">
      <c r="A32" s="20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7"/>
      <c r="O32" s="37"/>
      <c r="P32" s="43">
        <v>100</v>
      </c>
      <c r="Q32" s="57">
        <v>8600</v>
      </c>
      <c r="R32" s="57">
        <v>10926</v>
      </c>
      <c r="S32" s="57"/>
      <c r="T32" s="57"/>
      <c r="U32" s="57"/>
      <c r="V32" s="57"/>
      <c r="W32" s="57"/>
      <c r="X32" s="66">
        <v>50</v>
      </c>
    </row>
    <row r="33" spans="1:24" ht="13.5" customHeight="1">
      <c r="A33" s="19" t="s">
        <v>58</v>
      </c>
      <c r="B33" s="9"/>
      <c r="C33" s="9"/>
      <c r="D33" s="9">
        <v>721126</v>
      </c>
      <c r="E33" s="9">
        <v>764053</v>
      </c>
      <c r="F33" s="9">
        <v>828748</v>
      </c>
      <c r="G33" s="9">
        <v>787484</v>
      </c>
      <c r="H33" s="9">
        <v>793905</v>
      </c>
      <c r="I33" s="9">
        <v>143229</v>
      </c>
      <c r="J33" s="9">
        <v>163958</v>
      </c>
      <c r="K33" s="9">
        <v>129741</v>
      </c>
      <c r="L33" s="9">
        <v>143300</v>
      </c>
      <c r="M33" s="9">
        <v>143300</v>
      </c>
      <c r="N33" s="37">
        <v>94300</v>
      </c>
      <c r="O33" s="37">
        <v>200227</v>
      </c>
      <c r="P33" s="43">
        <v>201100</v>
      </c>
      <c r="Q33" s="57">
        <v>204497</v>
      </c>
      <c r="R33" s="57">
        <v>239132</v>
      </c>
      <c r="S33" s="57">
        <v>357132</v>
      </c>
      <c r="T33" s="57">
        <v>361648</v>
      </c>
      <c r="U33" s="57">
        <f>343248+35000</f>
        <v>378248</v>
      </c>
      <c r="V33" s="57">
        <v>285458</v>
      </c>
      <c r="W33" s="57">
        <f>389135+50500</f>
        <v>439635</v>
      </c>
      <c r="X33" s="66">
        <f>559847+55000</f>
        <v>614847</v>
      </c>
    </row>
    <row r="34" spans="1:24" ht="12.75" customHeight="1">
      <c r="A34" s="19" t="s">
        <v>64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7"/>
      <c r="O34" s="37"/>
      <c r="P34" s="43"/>
      <c r="Q34" s="57"/>
      <c r="R34" s="57"/>
      <c r="S34" s="57">
        <v>3000</v>
      </c>
      <c r="T34" s="57">
        <v>5750</v>
      </c>
      <c r="U34" s="57">
        <v>4750</v>
      </c>
      <c r="V34" s="57">
        <v>3650</v>
      </c>
      <c r="W34" s="57">
        <v>3687</v>
      </c>
      <c r="X34" s="66">
        <v>3945</v>
      </c>
    </row>
    <row r="35" spans="1:24" ht="14.25" customHeight="1">
      <c r="A35" s="19" t="s">
        <v>59</v>
      </c>
      <c r="B35" s="9"/>
      <c r="C35" s="9">
        <v>544385</v>
      </c>
      <c r="D35" s="9">
        <v>538546</v>
      </c>
      <c r="E35" s="9">
        <v>180102</v>
      </c>
      <c r="F35" s="9">
        <v>159997</v>
      </c>
      <c r="G35" s="9">
        <v>1169834</v>
      </c>
      <c r="H35" s="9">
        <v>660121</v>
      </c>
      <c r="I35" s="9">
        <v>1094294</v>
      </c>
      <c r="J35" s="9">
        <v>1382726</v>
      </c>
      <c r="K35" s="9">
        <v>1151336</v>
      </c>
      <c r="L35" s="9">
        <v>966004</v>
      </c>
      <c r="M35" s="9">
        <v>1068857</v>
      </c>
      <c r="N35" s="37">
        <v>677624</v>
      </c>
      <c r="O35" s="37">
        <v>782992</v>
      </c>
      <c r="P35" s="43">
        <v>1240622</v>
      </c>
      <c r="Q35" s="57">
        <v>933781.4</v>
      </c>
      <c r="R35" s="57">
        <v>1327745.3</v>
      </c>
      <c r="S35" s="57">
        <v>1475348.8</v>
      </c>
      <c r="T35" s="57">
        <v>2989405.9</v>
      </c>
      <c r="U35" s="57">
        <f>12500+20000+66058+2600000+100000+20559.9+10000+22600+520000+54000+32000</f>
        <v>3457717.9</v>
      </c>
      <c r="V35" s="57">
        <f>12400+20000+46899+2563100+300000+123000+49966.2+10000+24500+93000+38421</f>
        <v>3281286.2</v>
      </c>
      <c r="W35" s="57">
        <f>8550+20000+1360333+1011211+66703+891138+778399+82800+134213+55478.2+10000+371980+196583</f>
        <v>4987388.2</v>
      </c>
      <c r="X35" s="66">
        <f>9150+250000+100000+263030+20000+497240+349860+1296824+1097422+283703+214228+342215+47298.3+854000</f>
        <v>5624970.3</v>
      </c>
    </row>
    <row r="36" spans="1:24" ht="13.5" customHeight="1">
      <c r="A36" s="19" t="s">
        <v>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7"/>
      <c r="O36" s="37"/>
      <c r="P36" s="43"/>
      <c r="Q36" s="57"/>
      <c r="R36" s="57"/>
      <c r="S36" s="57">
        <v>750</v>
      </c>
      <c r="T36" s="57"/>
      <c r="U36" s="57"/>
      <c r="V36" s="57">
        <v>500</v>
      </c>
      <c r="W36" s="57">
        <v>6365</v>
      </c>
      <c r="X36" s="66">
        <v>6810</v>
      </c>
    </row>
    <row r="37" spans="1:24" ht="14.25" customHeight="1">
      <c r="A37" s="19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7"/>
      <c r="O37" s="37"/>
      <c r="P37" s="43"/>
      <c r="Q37" s="57"/>
      <c r="R37" s="57"/>
      <c r="S37" s="57">
        <v>5670</v>
      </c>
      <c r="T37" s="57">
        <v>10123</v>
      </c>
      <c r="U37" s="57">
        <f>12041+5000</f>
        <v>17041</v>
      </c>
      <c r="V37" s="57">
        <v>10541</v>
      </c>
      <c r="W37" s="57">
        <f>17791+8500+45000+5000</f>
        <v>76291</v>
      </c>
      <c r="X37" s="66">
        <f>17699+5000+10000+42000</f>
        <v>74699</v>
      </c>
    </row>
    <row r="38" spans="1:24" ht="14.25" customHeight="1">
      <c r="A38" s="19" t="s">
        <v>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7"/>
      <c r="O38" s="37"/>
      <c r="P38" s="43"/>
      <c r="Q38" s="57"/>
      <c r="R38" s="57"/>
      <c r="S38" s="57"/>
      <c r="T38" s="57"/>
      <c r="U38" s="57"/>
      <c r="V38" s="57"/>
      <c r="W38" s="57">
        <f>3553037+20000</f>
        <v>3573037</v>
      </c>
      <c r="X38" s="66">
        <f>4096369+230000+50000+50000+15000+5000+380000+2000+20000-732000</f>
        <v>4116369</v>
      </c>
    </row>
    <row r="39" spans="1:24" ht="13.5" customHeight="1" thickBot="1">
      <c r="A39" s="87" t="s">
        <v>79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P39" s="52"/>
      <c r="Q39" s="60"/>
      <c r="R39" s="60"/>
      <c r="S39" s="60"/>
      <c r="T39" s="60"/>
      <c r="U39" s="60"/>
      <c r="V39" s="60"/>
      <c r="W39" s="60">
        <v>25250</v>
      </c>
      <c r="X39" s="67">
        <v>15000</v>
      </c>
    </row>
    <row r="40" spans="1:26" s="1" customFormat="1" ht="13.5" thickBot="1">
      <c r="A40" s="31" t="s">
        <v>5</v>
      </c>
      <c r="B40" s="10">
        <f aca="true" t="shared" si="6" ref="B40:R40">SUM(B15:B35)</f>
        <v>84652</v>
      </c>
      <c r="C40" s="10">
        <f t="shared" si="6"/>
        <v>3425089</v>
      </c>
      <c r="D40" s="10">
        <f t="shared" si="6"/>
        <v>9883009</v>
      </c>
      <c r="E40" s="10">
        <f t="shared" si="6"/>
        <v>11655135</v>
      </c>
      <c r="F40" s="10">
        <f t="shared" si="6"/>
        <v>13294156</v>
      </c>
      <c r="G40" s="10">
        <f t="shared" si="6"/>
        <v>14127051</v>
      </c>
      <c r="H40" s="10">
        <f t="shared" si="6"/>
        <v>15666534</v>
      </c>
      <c r="I40" s="10">
        <f t="shared" si="6"/>
        <v>17635937</v>
      </c>
      <c r="J40" s="10">
        <f t="shared" si="6"/>
        <v>18764474</v>
      </c>
      <c r="K40" s="10">
        <f t="shared" si="6"/>
        <v>15695789</v>
      </c>
      <c r="L40" s="10">
        <f t="shared" si="6"/>
        <v>16437544</v>
      </c>
      <c r="M40" s="10">
        <f t="shared" si="6"/>
        <v>16329790</v>
      </c>
      <c r="N40" s="36">
        <f t="shared" si="6"/>
        <v>15915393</v>
      </c>
      <c r="O40" s="36">
        <f t="shared" si="6"/>
        <v>15929419</v>
      </c>
      <c r="P40" s="36">
        <f t="shared" si="6"/>
        <v>17637322</v>
      </c>
      <c r="Q40" s="61">
        <f t="shared" si="6"/>
        <v>19078161.4</v>
      </c>
      <c r="R40" s="61">
        <f t="shared" si="6"/>
        <v>19986411.3</v>
      </c>
      <c r="S40" s="61">
        <f>SUM(S15:S37)</f>
        <v>23118714.8</v>
      </c>
      <c r="T40" s="61">
        <f>SUM(T15:T37)</f>
        <v>27098613.9</v>
      </c>
      <c r="U40" s="61">
        <f>SUM(U15:U37)</f>
        <v>31784089.9</v>
      </c>
      <c r="V40" s="61">
        <f>SUM(V15:V37)</f>
        <v>33145395.2</v>
      </c>
      <c r="W40" s="61">
        <f>SUM(W15:W39)</f>
        <v>40207008.2</v>
      </c>
      <c r="X40" s="85">
        <f>SUM(X15:X39)</f>
        <v>45066560.3</v>
      </c>
      <c r="Y40" s="82"/>
      <c r="Z40" s="82"/>
    </row>
    <row r="41" spans="1:24" s="3" customFormat="1" ht="13.5" thickBo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  <c r="P41" s="41"/>
      <c r="Q41" s="64"/>
      <c r="R41" s="64"/>
      <c r="S41" s="64"/>
      <c r="T41" s="64"/>
      <c r="U41" s="64"/>
      <c r="V41" s="64"/>
      <c r="W41" s="64"/>
      <c r="X41" s="70"/>
    </row>
    <row r="42" spans="1:26" s="1" customFormat="1" ht="13.5" thickBot="1">
      <c r="A42" s="31" t="s">
        <v>6</v>
      </c>
      <c r="B42" s="10">
        <f aca="true" t="shared" si="7" ref="B42:R42">B13-B40</f>
        <v>0</v>
      </c>
      <c r="C42" s="10">
        <f t="shared" si="7"/>
        <v>0</v>
      </c>
      <c r="D42" s="10">
        <f t="shared" si="7"/>
        <v>-200000</v>
      </c>
      <c r="E42" s="10">
        <f t="shared" si="7"/>
        <v>-230878</v>
      </c>
      <c r="F42" s="10">
        <f t="shared" si="7"/>
        <v>-155320</v>
      </c>
      <c r="G42" s="10">
        <f t="shared" si="7"/>
        <v>-100000</v>
      </c>
      <c r="H42" s="10">
        <f t="shared" si="7"/>
        <v>-277443</v>
      </c>
      <c r="I42" s="10">
        <f t="shared" si="7"/>
        <v>-2512524</v>
      </c>
      <c r="J42" s="10">
        <f t="shared" si="7"/>
        <v>-3167161</v>
      </c>
      <c r="K42" s="10">
        <f t="shared" si="7"/>
        <v>-478342</v>
      </c>
      <c r="L42" s="10">
        <f t="shared" si="7"/>
        <v>-937499</v>
      </c>
      <c r="M42" s="10">
        <f t="shared" si="7"/>
        <v>-702954</v>
      </c>
      <c r="N42" s="36">
        <f t="shared" si="7"/>
        <v>-170513</v>
      </c>
      <c r="O42" s="36">
        <f t="shared" si="7"/>
        <v>29487</v>
      </c>
      <c r="P42" s="36">
        <f t="shared" si="7"/>
        <v>-270513</v>
      </c>
      <c r="Q42" s="61">
        <f t="shared" si="7"/>
        <v>29487</v>
      </c>
      <c r="R42" s="61">
        <f t="shared" si="7"/>
        <v>229487</v>
      </c>
      <c r="S42" s="61">
        <f aca="true" t="shared" si="8" ref="S42:X42">S13-S40</f>
        <v>229487</v>
      </c>
      <c r="T42" s="61">
        <f t="shared" si="8"/>
        <v>229487</v>
      </c>
      <c r="U42" s="61">
        <f t="shared" si="8"/>
        <v>-460513</v>
      </c>
      <c r="V42" s="61">
        <f t="shared" si="8"/>
        <v>-1208754</v>
      </c>
      <c r="W42" s="61">
        <f t="shared" si="8"/>
        <v>-4486101</v>
      </c>
      <c r="X42" s="85">
        <f t="shared" si="8"/>
        <v>-3047045</v>
      </c>
      <c r="Y42" s="82"/>
      <c r="Z42" s="82"/>
    </row>
    <row r="43" spans="1:24" s="1" customFormat="1" ht="12.75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40"/>
      <c r="O43" s="40"/>
      <c r="P43" s="40"/>
      <c r="Q43" s="63"/>
      <c r="R43" s="63"/>
      <c r="S43" s="63"/>
      <c r="T43" s="63"/>
      <c r="U43" s="63"/>
      <c r="V43" s="63"/>
      <c r="W43" s="63"/>
      <c r="X43" s="69"/>
    </row>
    <row r="44" spans="1:24" ht="12.75">
      <c r="A44" s="20" t="s">
        <v>63</v>
      </c>
      <c r="B44" s="9"/>
      <c r="C44" s="9"/>
      <c r="D44" s="9">
        <v>200000</v>
      </c>
      <c r="E44" s="9">
        <v>230878</v>
      </c>
      <c r="F44" s="13">
        <v>155320</v>
      </c>
      <c r="G44" s="9">
        <v>100000</v>
      </c>
      <c r="H44" s="9">
        <v>277443</v>
      </c>
      <c r="I44" s="9">
        <v>297571</v>
      </c>
      <c r="J44" s="9">
        <v>895000</v>
      </c>
      <c r="K44" s="9">
        <v>55000</v>
      </c>
      <c r="L44" s="9">
        <v>639730</v>
      </c>
      <c r="M44" s="9">
        <v>925254</v>
      </c>
      <c r="N44" s="37">
        <v>410000</v>
      </c>
      <c r="O44" s="37">
        <v>210000</v>
      </c>
      <c r="P44" s="43">
        <v>510000</v>
      </c>
      <c r="Q44" s="57">
        <v>210000</v>
      </c>
      <c r="R44" s="57">
        <v>10000</v>
      </c>
      <c r="S44" s="57">
        <v>10000</v>
      </c>
      <c r="T44" s="57">
        <v>10000</v>
      </c>
      <c r="U44" s="57">
        <v>0</v>
      </c>
      <c r="V44" s="57">
        <v>0</v>
      </c>
      <c r="W44" s="57">
        <v>1510000</v>
      </c>
      <c r="X44" s="66">
        <v>10000</v>
      </c>
    </row>
    <row r="45" spans="1:24" ht="12.75">
      <c r="A45" s="20" t="s">
        <v>74</v>
      </c>
      <c r="B45" s="9"/>
      <c r="C45" s="9"/>
      <c r="D45" s="9"/>
      <c r="E45" s="9"/>
      <c r="F45" s="9"/>
      <c r="G45" s="9"/>
      <c r="H45" s="9"/>
      <c r="I45" s="9">
        <v>2214953</v>
      </c>
      <c r="J45" s="9">
        <v>2272161</v>
      </c>
      <c r="K45" s="9">
        <v>510299</v>
      </c>
      <c r="L45" s="9">
        <v>471682</v>
      </c>
      <c r="M45" s="9"/>
      <c r="N45" s="37"/>
      <c r="O45" s="37"/>
      <c r="P45" s="43"/>
      <c r="Q45" s="57"/>
      <c r="R45" s="57"/>
      <c r="S45" s="57"/>
      <c r="T45" s="57"/>
      <c r="U45" s="57">
        <v>700000</v>
      </c>
      <c r="V45" s="57">
        <f>688241+800000</f>
        <v>1488241</v>
      </c>
      <c r="W45" s="57">
        <f>1856703+1437025+2000000</f>
        <v>5293728</v>
      </c>
      <c r="X45" s="66">
        <f>1579703+1389497+385472</f>
        <v>3354672</v>
      </c>
    </row>
    <row r="46" spans="1:24" ht="13.5" thickBot="1">
      <c r="A46" s="23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-86957</v>
      </c>
      <c r="L46" s="14">
        <v>-173913</v>
      </c>
      <c r="M46" s="14">
        <v>-222300</v>
      </c>
      <c r="N46" s="38">
        <v>-239487</v>
      </c>
      <c r="O46" s="38">
        <v>-239487</v>
      </c>
      <c r="P46" s="52">
        <v>-239487</v>
      </c>
      <c r="Q46" s="60">
        <v>-239487</v>
      </c>
      <c r="R46" s="60">
        <v>-239487</v>
      </c>
      <c r="S46" s="60">
        <v>-239487</v>
      </c>
      <c r="T46" s="60">
        <v>-239487</v>
      </c>
      <c r="U46" s="60">
        <v>-239487</v>
      </c>
      <c r="V46" s="60">
        <f>-239487-40000</f>
        <v>-279487</v>
      </c>
      <c r="W46" s="60">
        <f>-239487-78140-2000000</f>
        <v>-2317627</v>
      </c>
      <c r="X46" s="67">
        <f>-239487-78140</f>
        <v>-317627</v>
      </c>
    </row>
    <row r="47" spans="1:26" s="1" customFormat="1" ht="13.5" thickBot="1">
      <c r="A47" s="31" t="s">
        <v>7</v>
      </c>
      <c r="B47" s="10">
        <f aca="true" t="shared" si="9" ref="B47:J47">SUM(B44:B45)</f>
        <v>0</v>
      </c>
      <c r="C47" s="10">
        <f t="shared" si="9"/>
        <v>0</v>
      </c>
      <c r="D47" s="10">
        <f t="shared" si="9"/>
        <v>200000</v>
      </c>
      <c r="E47" s="10">
        <f t="shared" si="9"/>
        <v>230878</v>
      </c>
      <c r="F47" s="10">
        <f t="shared" si="9"/>
        <v>155320</v>
      </c>
      <c r="G47" s="10">
        <f t="shared" si="9"/>
        <v>100000</v>
      </c>
      <c r="H47" s="10">
        <f t="shared" si="9"/>
        <v>277443</v>
      </c>
      <c r="I47" s="10">
        <f t="shared" si="9"/>
        <v>2512524</v>
      </c>
      <c r="J47" s="10">
        <f t="shared" si="9"/>
        <v>3167161</v>
      </c>
      <c r="K47" s="10">
        <f aca="true" t="shared" si="10" ref="K47:X47">SUM(K44:K46)</f>
        <v>478342</v>
      </c>
      <c r="L47" s="10">
        <f t="shared" si="10"/>
        <v>937499</v>
      </c>
      <c r="M47" s="10">
        <f t="shared" si="10"/>
        <v>702954</v>
      </c>
      <c r="N47" s="36">
        <f t="shared" si="10"/>
        <v>170513</v>
      </c>
      <c r="O47" s="36">
        <f t="shared" si="10"/>
        <v>-29487</v>
      </c>
      <c r="P47" s="36">
        <f t="shared" si="10"/>
        <v>270513</v>
      </c>
      <c r="Q47" s="61">
        <f t="shared" si="10"/>
        <v>-29487</v>
      </c>
      <c r="R47" s="61">
        <f t="shared" si="10"/>
        <v>-229487</v>
      </c>
      <c r="S47" s="61">
        <f t="shared" si="10"/>
        <v>-229487</v>
      </c>
      <c r="T47" s="61">
        <f t="shared" si="10"/>
        <v>-229487</v>
      </c>
      <c r="U47" s="61">
        <f t="shared" si="10"/>
        <v>460513</v>
      </c>
      <c r="V47" s="61">
        <f t="shared" si="10"/>
        <v>1208754</v>
      </c>
      <c r="W47" s="61">
        <f>SUM(W44:W46)</f>
        <v>4486101</v>
      </c>
      <c r="X47" s="85">
        <f t="shared" si="10"/>
        <v>3047045</v>
      </c>
      <c r="Y47" s="82"/>
      <c r="Z47" s="82"/>
    </row>
    <row r="48" spans="1:24" s="3" customFormat="1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  <c r="P48" s="41"/>
      <c r="Q48" s="64"/>
      <c r="R48" s="64"/>
      <c r="S48" s="64"/>
      <c r="T48" s="64"/>
      <c r="U48" s="64"/>
      <c r="V48" s="64"/>
      <c r="W48" s="64"/>
      <c r="X48" s="70"/>
    </row>
    <row r="49" spans="1:24" s="1" customFormat="1" ht="13.5" thickBot="1">
      <c r="A49" s="31" t="s">
        <v>8</v>
      </c>
      <c r="B49" s="10">
        <f aca="true" t="shared" si="11" ref="B49:J49">B42+B47</f>
        <v>0</v>
      </c>
      <c r="C49" s="10">
        <f t="shared" si="11"/>
        <v>0</v>
      </c>
      <c r="D49" s="10">
        <f t="shared" si="11"/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aca="true" t="shared" si="12" ref="K49:X49">SUM(K42+K47)</f>
        <v>0</v>
      </c>
      <c r="L49" s="10">
        <f t="shared" si="12"/>
        <v>0</v>
      </c>
      <c r="M49" s="10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61">
        <f t="shared" si="12"/>
        <v>0</v>
      </c>
      <c r="R49" s="61">
        <f t="shared" si="12"/>
        <v>0</v>
      </c>
      <c r="S49" s="61">
        <f t="shared" si="12"/>
        <v>0</v>
      </c>
      <c r="T49" s="61">
        <f t="shared" si="12"/>
        <v>0</v>
      </c>
      <c r="U49" s="61">
        <f t="shared" si="12"/>
        <v>0</v>
      </c>
      <c r="V49" s="61">
        <f t="shared" si="12"/>
        <v>0</v>
      </c>
      <c r="W49" s="61">
        <f>SUM(W42+W47)</f>
        <v>0</v>
      </c>
      <c r="X49" s="85">
        <f t="shared" si="12"/>
        <v>0</v>
      </c>
    </row>
    <row r="51" spans="1:17" s="4" customFormat="1" ht="11.25">
      <c r="A51" s="15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5"/>
      <c r="L51" s="15"/>
      <c r="M51" s="16"/>
      <c r="N51" s="35"/>
      <c r="O51" s="35"/>
      <c r="P51" s="35"/>
      <c r="Q51" s="55"/>
    </row>
    <row r="52" spans="1:17" s="4" customFormat="1" ht="11.25">
      <c r="A52" s="15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  <c r="M52" s="16"/>
      <c r="N52" s="35"/>
      <c r="O52" s="35"/>
      <c r="P52" s="35"/>
      <c r="Q52" s="55"/>
    </row>
    <row r="53" spans="1:17" s="4" customFormat="1" ht="11.25">
      <c r="A53" s="17" t="s">
        <v>25</v>
      </c>
      <c r="B53" s="16"/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6"/>
      <c r="N53" s="35"/>
      <c r="O53" s="35"/>
      <c r="P53" s="35"/>
      <c r="Q53" s="55"/>
    </row>
    <row r="54" spans="1:17" s="4" customFormat="1" ht="11.25">
      <c r="A54" s="17" t="s">
        <v>23</v>
      </c>
      <c r="B54" s="16"/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6"/>
      <c r="N54" s="35"/>
      <c r="O54" s="35"/>
      <c r="P54" s="35"/>
      <c r="Q54" s="55"/>
    </row>
    <row r="55" spans="1:17" s="4" customFormat="1" ht="11.25">
      <c r="A55" s="17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6"/>
      <c r="N55" s="35"/>
      <c r="O55" s="35"/>
      <c r="P55" s="35"/>
      <c r="Q55" s="55"/>
    </row>
    <row r="56" spans="1:17" s="4" customFormat="1" ht="11.25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6"/>
      <c r="N56" s="35"/>
      <c r="O56" s="35"/>
      <c r="P56" s="35"/>
      <c r="Q56" s="55"/>
    </row>
    <row r="57" spans="1:17" s="4" customFormat="1" ht="11.25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6"/>
      <c r="N57" s="35"/>
      <c r="O57" s="35"/>
      <c r="P57" s="35"/>
      <c r="Q57" s="55"/>
    </row>
    <row r="58" spans="1:17" s="4" customFormat="1" ht="11.25">
      <c r="A58" s="15" t="s">
        <v>20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6"/>
      <c r="N58" s="35"/>
      <c r="O58" s="35"/>
      <c r="P58" s="35"/>
      <c r="Q58" s="55"/>
    </row>
    <row r="59" spans="1:17" s="4" customFormat="1" ht="11.25">
      <c r="A59" s="15" t="s">
        <v>19</v>
      </c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6"/>
      <c r="N59" s="35"/>
      <c r="O59" s="35"/>
      <c r="P59" s="35"/>
      <c r="Q59" s="55"/>
    </row>
    <row r="60" spans="1:17" s="4" customFormat="1" ht="11.25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6"/>
      <c r="N60" s="35"/>
      <c r="O60" s="35"/>
      <c r="P60" s="35"/>
      <c r="Q60" s="55"/>
    </row>
    <row r="61" ht="12.75">
      <c r="A61" s="15" t="s">
        <v>30</v>
      </c>
    </row>
    <row r="62" ht="12.75">
      <c r="A62" s="15" t="s">
        <v>35</v>
      </c>
    </row>
    <row r="63" ht="12.75">
      <c r="A63" s="15" t="s">
        <v>37</v>
      </c>
    </row>
    <row r="64" ht="12.75">
      <c r="A64" s="15" t="s">
        <v>39</v>
      </c>
    </row>
    <row r="65" ht="12.75">
      <c r="A65" s="15" t="s">
        <v>41</v>
      </c>
    </row>
    <row r="66" ht="12.75">
      <c r="A66" s="15" t="s">
        <v>89</v>
      </c>
    </row>
    <row r="67" ht="12.75">
      <c r="A67" s="15" t="s">
        <v>88</v>
      </c>
    </row>
    <row r="68" ht="12.75">
      <c r="A68" s="15" t="s">
        <v>87</v>
      </c>
    </row>
    <row r="69" ht="12.75">
      <c r="A69" s="15" t="s">
        <v>86</v>
      </c>
    </row>
    <row r="70" ht="12.75">
      <c r="A70" s="15" t="s">
        <v>85</v>
      </c>
    </row>
    <row r="71" ht="12.75">
      <c r="A71" s="15" t="s">
        <v>84</v>
      </c>
    </row>
    <row r="72" ht="12.75">
      <c r="A72" s="15" t="s">
        <v>83</v>
      </c>
    </row>
    <row r="73" ht="12.75">
      <c r="A73" s="15" t="s">
        <v>76</v>
      </c>
    </row>
    <row r="74" ht="12.75">
      <c r="A74" s="15" t="s">
        <v>80</v>
      </c>
    </row>
    <row r="76" ht="12.75">
      <c r="A76" s="80" t="s">
        <v>67</v>
      </c>
    </row>
  </sheetData>
  <sheetProtection/>
  <mergeCells count="1">
    <mergeCell ref="A3:K3"/>
  </mergeCells>
  <printOptions/>
  <pageMargins left="0.7874015748031497" right="0.6692913385826772" top="0.7874015748031497" bottom="2.5590551181102366" header="0.5118110236220472" footer="0.5118110236220472"/>
  <pageSetup fitToHeight="2" fitToWidth="1" horizontalDpi="600" verticalDpi="600" orientation="landscape" scale="4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Egererová Eva</cp:lastModifiedBy>
  <cp:lastPrinted>2017-12-18T10:11:58Z</cp:lastPrinted>
  <dcterms:created xsi:type="dcterms:W3CDTF">2009-01-19T09:56:28Z</dcterms:created>
  <dcterms:modified xsi:type="dcterms:W3CDTF">2023-01-17T13:15:01Z</dcterms:modified>
  <cp:category/>
  <cp:version/>
  <cp:contentType/>
  <cp:contentStatus/>
</cp:coreProperties>
</file>